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340" windowHeight="9204" activeTab="1"/>
  </bookViews>
  <sheets>
    <sheet name="W&amp;B Chart" sheetId="1" r:id="rId1"/>
    <sheet name="W&amp;B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<sst xmlns="http://schemas.openxmlformats.org/spreadsheetml/2006/main" count="20" uniqueCount="20">
  <si>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</si>
  <si>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</si>
  <si>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Front Passenger</t>
  </si>
  <si>
    <t>Passenger(s) - Center Seats</t>
  </si>
  <si>
    <t>Passenger(s) - Rear Seats</t>
  </si>
  <si>
    <t>Baggage - Forward</t>
  </si>
  <si>
    <t>Baggage - Rear</t>
  </si>
  <si>
    <t>Ramp Weight (3615 lbs Max)</t>
  </si>
  <si>
    <t>Fuel Allowance for Pre-T/O</t>
  </si>
  <si>
    <t>Take-off Weight (3600 lbs Max)</t>
  </si>
  <si>
    <t>Take-off Weight</t>
  </si>
  <si>
    <t>Less Estimated Trip Fuel Burn</t>
  </si>
  <si>
    <t xml:space="preserve">Landing Weight </t>
  </si>
  <si>
    <t>Weight (lbs)</t>
  </si>
  <si>
    <t>Arm Aft Datum (inches)</t>
  </si>
  <si>
    <t>Moment (in-lbs)</t>
  </si>
  <si>
    <t>Fuel (gal)</t>
  </si>
  <si>
    <t>Max Fuel allowed by Gross Wt</t>
  </si>
  <si>
    <t>N478MD Weight and Balance Calculations</t>
  </si>
  <si>
    <t>Fuel On-Board- 102 gal 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</si>
</sst>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8.25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b/>
      <i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N478MD Weight &amp;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PA32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'W&amp;B Data'!$C$34:$C$39</c:f>
              <c:numCache>
                <c:ptCount val="6"/>
                <c:pt idx="0">
                  <c:v>78</c:v>
                </c:pt>
                <c:pt idx="1">
                  <c:v>78</c:v>
                </c:pt>
                <c:pt idx="2">
                  <c:v>83.7</c:v>
                </c:pt>
                <c:pt idx="3">
                  <c:v>91.4</c:v>
                </c:pt>
                <c:pt idx="4">
                  <c:v>95</c:v>
                </c:pt>
                <c:pt idx="5">
                  <c:v>95</c:v>
                </c:pt>
              </c:numCache>
            </c:numRef>
          </c:xVal>
          <c:yVal>
            <c:numRef>
              <c:f>'W&amp;B Data'!$B$34:$B$39</c:f>
              <c:numCache>
                <c:ptCount val="6"/>
                <c:pt idx="0">
                  <c:v>1500</c:v>
                </c:pt>
                <c:pt idx="1">
                  <c:v>2400</c:v>
                </c:pt>
                <c:pt idx="2">
                  <c:v>3200</c:v>
                </c:pt>
                <c:pt idx="3">
                  <c:v>3600</c:v>
                </c:pt>
                <c:pt idx="4">
                  <c:v>3600</c:v>
                </c:pt>
                <c:pt idx="5">
                  <c:v>1500</c:v>
                </c:pt>
              </c:numCache>
            </c:numRef>
          </c:yVal>
          <c:smooth val="0"/>
        </c:ser>
        <c:ser>
          <c:idx val="1"/>
          <c:order val="1"/>
          <c:tx>
            <c:v>Trip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('W&amp;B Data'!$I$18,'W&amp;B Data'!$I$23)</c:f>
              <c:numCache>
                <c:ptCount val="2"/>
                <c:pt idx="0">
                  <c:v>91.87301798800799</c:v>
                </c:pt>
                <c:pt idx="1">
                  <c:v>91.78060479666318</c:v>
                </c:pt>
              </c:numCache>
            </c:numRef>
          </c:xVal>
          <c:yVal>
            <c:numRef>
              <c:f>('W&amp;B Data'!$G$18,'W&amp;B Data'!$G$23)</c:f>
              <c:numCache>
                <c:ptCount val="2"/>
                <c:pt idx="0">
                  <c:v>3602.4</c:v>
                </c:pt>
                <c:pt idx="1">
                  <c:v>3452.4</c:v>
                </c:pt>
              </c:numCache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10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Arm Aft Datum -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9017"/>
        <c:crosses val="autoZero"/>
        <c:crossBetween val="midCat"/>
        <c:dispUnits/>
        <c:majorUnit val="10"/>
      </c:valAx>
      <c:valAx>
        <c:axId val="2059017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5320"/>
        <c:crosses val="autoZero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N478MD Weight &amp;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PA32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'W&amp;B Data'!$C$34:$C$39</c:f>
              <c:numCache/>
            </c:numRef>
          </c:xVal>
          <c:yVal>
            <c:numRef>
              <c:f>'W&amp;B Data'!$B$34:$B$39</c:f>
              <c:numCache/>
            </c:numRef>
          </c:yVal>
          <c:smooth val="0"/>
        </c:ser>
        <c:ser>
          <c:idx val="1"/>
          <c:order val="1"/>
          <c:tx>
            <c:v>Trip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('W&amp;B Data'!$I$18,'W&amp;B Data'!$I$23)</c:f>
              <c:numCache/>
            </c:numRef>
          </c:xVal>
          <c:yVal>
            <c:numRef>
              <c:f>('W&amp;B Data'!$G$18,'W&amp;B Data'!$G$23)</c:f>
              <c:numCache/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10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Arm Aft Datum -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crossBetween val="midCat"/>
        <c:dispUnits/>
        <c:majorUnit val="10"/>
      </c:valAx>
      <c:valAx>
        <c:axId val="32562659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1154"/>
        <c:crosses val="autoZero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0</xdr:rowOff>
    </xdr:from>
    <xdr:to>
      <xdr:col>17</xdr:col>
      <xdr:colOff>466725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5867400" y="704850"/>
        <a:ext cx="4105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9"/>
  <sheetViews>
    <sheetView tabSelected="1" workbookViewId="0" topLeftCell="A2">
      <selection activeCell="B13" sqref="B13"/>
    </sheetView>
  </sheetViews>
  <sheetFormatPr defaultColWidth="9.140625" defaultRowHeight="12.75"/>
  <cols>
    <col min="1" max="1" width="4.7109375" style="0" customWidth="1"/>
    <col min="6" max="6" width="11.140625" style="0" customWidth="1"/>
    <col min="8" max="8" width="2.28125" style="0" customWidth="1"/>
    <col min="9" max="9" width="10.421875" style="0" customWidth="1"/>
    <col min="10" max="10" width="2.57421875" style="0" customWidth="1"/>
    <col min="11" max="11" width="10.8515625" style="0" customWidth="1"/>
  </cols>
  <sheetData>
    <row r="3" ht="17.25">
      <c r="D3" s="3" t="s">
        <v>18</v>
      </c>
    </row>
    <row r="5" spans="6:12" ht="47.25" thickBot="1">
      <c r="F5" s="4" t="s">
        <v>16</v>
      </c>
      <c r="G5" s="4" t="s">
        <v>13</v>
      </c>
      <c r="H5" s="4"/>
      <c r="I5" s="4" t="s">
        <v>14</v>
      </c>
      <c r="J5" s="4"/>
      <c r="K5" s="4" t="s">
        <v>15</v>
      </c>
      <c r="L5" s="2"/>
    </row>
    <row r="6" spans="2:11" ht="13.5" thickTop="1">
      <c r="B6" t="s">
        <v>0</v>
      </c>
      <c r="F6" s="1"/>
      <c r="G6" s="1">
        <v>2587.4</v>
      </c>
      <c r="I6">
        <f>226096.36/2587.4</f>
        <v>87.38361289325191</v>
      </c>
      <c r="K6">
        <f>I6*G6</f>
        <v>226096.36</v>
      </c>
    </row>
    <row r="7" spans="2:11" ht="12.75">
      <c r="B7" t="s">
        <v>1</v>
      </c>
      <c r="F7" s="1"/>
      <c r="G7" s="1">
        <v>195</v>
      </c>
      <c r="I7">
        <v>85.5</v>
      </c>
      <c r="K7">
        <f aca="true" t="shared" si="0" ref="K7:K23">I7*G7</f>
        <v>16672.5</v>
      </c>
    </row>
    <row r="8" spans="2:11" ht="12.75">
      <c r="B8" t="s">
        <v>2</v>
      </c>
      <c r="F8" s="1"/>
      <c r="G8" s="1">
        <v>240</v>
      </c>
      <c r="I8">
        <v>85.5</v>
      </c>
      <c r="K8">
        <f t="shared" si="0"/>
        <v>20520</v>
      </c>
    </row>
    <row r="9" spans="2:11" ht="12.75">
      <c r="B9" t="s">
        <v>3</v>
      </c>
      <c r="F9" s="1"/>
      <c r="G9" s="1">
        <v>0</v>
      </c>
      <c r="I9">
        <v>119.1</v>
      </c>
      <c r="K9">
        <f t="shared" si="0"/>
        <v>0</v>
      </c>
    </row>
    <row r="10" spans="2:11" ht="12.75">
      <c r="B10" t="s">
        <v>4</v>
      </c>
      <c r="F10" s="1"/>
      <c r="G10" s="1">
        <v>0</v>
      </c>
      <c r="I10">
        <v>157.6</v>
      </c>
      <c r="K10">
        <f t="shared" si="0"/>
        <v>0</v>
      </c>
    </row>
    <row r="11" spans="3:7" ht="12.75">
      <c r="C11" t="s">
        <v>17</v>
      </c>
      <c r="F11" s="1">
        <f>MIN(102,(3615-SUM(G6:G10)-SUM(G13:G14))/6)</f>
        <v>93.76666666666665</v>
      </c>
      <c r="G11" s="1"/>
    </row>
    <row r="12" spans="2:11" ht="12.75">
      <c r="B12" t="s">
        <v>19</v>
      </c>
      <c r="F12" s="1">
        <v>75</v>
      </c>
      <c r="G12" s="1">
        <f>F12*6</f>
        <v>450</v>
      </c>
      <c r="I12">
        <v>94</v>
      </c>
      <c r="K12">
        <f t="shared" si="0"/>
        <v>42300</v>
      </c>
    </row>
    <row r="13" spans="2:11" ht="12.75">
      <c r="B13" t="s">
        <v>5</v>
      </c>
      <c r="F13" s="1"/>
      <c r="G13" s="1">
        <v>0</v>
      </c>
      <c r="I13">
        <v>42</v>
      </c>
      <c r="K13">
        <f t="shared" si="0"/>
        <v>0</v>
      </c>
    </row>
    <row r="14" spans="2:11" ht="12.75">
      <c r="B14" t="s">
        <v>6</v>
      </c>
      <c r="F14" s="1"/>
      <c r="G14" s="1">
        <v>30</v>
      </c>
      <c r="I14">
        <v>178.7</v>
      </c>
      <c r="K14">
        <f t="shared" si="0"/>
        <v>5361</v>
      </c>
    </row>
    <row r="15" spans="6:7" ht="12.75">
      <c r="F15" s="1"/>
      <c r="G15" s="1"/>
    </row>
    <row r="16" spans="2:11" ht="12.75">
      <c r="B16" t="s">
        <v>7</v>
      </c>
      <c r="F16" s="1"/>
      <c r="G16" s="1">
        <f>SUM(G6:G15)</f>
        <v>3502.4</v>
      </c>
      <c r="I16">
        <f>K16/G16</f>
        <v>88.78193809958884</v>
      </c>
      <c r="K16">
        <f>SUM(K6:K15)</f>
        <v>310949.86</v>
      </c>
    </row>
    <row r="17" spans="2:11" ht="12.75">
      <c r="B17" t="s">
        <v>8</v>
      </c>
      <c r="F17" s="1"/>
      <c r="G17" s="1">
        <v>-15</v>
      </c>
      <c r="I17">
        <v>94</v>
      </c>
      <c r="K17">
        <f t="shared" si="0"/>
        <v>-1410</v>
      </c>
    </row>
    <row r="18" spans="2:11" ht="12.75">
      <c r="B18" t="s">
        <v>9</v>
      </c>
      <c r="F18" s="1"/>
      <c r="G18" s="1">
        <f>SUM(G16:G17)</f>
        <v>3487.4</v>
      </c>
      <c r="I18">
        <f>K18/G18</f>
        <v>88.75949417904455</v>
      </c>
      <c r="K18">
        <f>SUM(K16:K17)</f>
        <v>309539.86</v>
      </c>
    </row>
    <row r="19" spans="6:7" ht="12.75">
      <c r="F19" s="1"/>
      <c r="G19" s="1"/>
    </row>
    <row r="20" spans="6:7" ht="12.75">
      <c r="F20" s="1"/>
      <c r="G20" s="1"/>
    </row>
    <row r="21" spans="2:11" ht="12.75">
      <c r="B21" t="s">
        <v>10</v>
      </c>
      <c r="F21" s="1"/>
      <c r="G21" s="1">
        <f>G18</f>
        <v>3487.4</v>
      </c>
      <c r="I21">
        <f>K21/G21</f>
        <v>88.75949417904455</v>
      </c>
      <c r="K21">
        <f>K18</f>
        <v>309539.86</v>
      </c>
    </row>
    <row r="22" spans="2:11" ht="12.75">
      <c r="B22" t="s">
        <v>11</v>
      </c>
      <c r="F22" s="1">
        <v>32</v>
      </c>
      <c r="G22" s="1">
        <f>-F22*6</f>
        <v>-192</v>
      </c>
      <c r="I22">
        <v>-94</v>
      </c>
      <c r="K22">
        <f t="shared" si="0"/>
        <v>18048</v>
      </c>
    </row>
    <row r="23" spans="2:11" ht="12.75">
      <c r="B23" t="s">
        <v>12</v>
      </c>
      <c r="F23" s="1"/>
      <c r="G23" s="1">
        <f>G21+G22</f>
        <v>3295.4</v>
      </c>
      <c r="I23">
        <f>K23/G23</f>
        <v>88.45416641378891</v>
      </c>
      <c r="K23">
        <f>K21-K22</f>
        <v>291491.86</v>
      </c>
    </row>
    <row r="34" spans="2:3" ht="12.75">
      <c r="B34">
        <v>1500</v>
      </c>
      <c r="C34">
        <v>78</v>
      </c>
    </row>
    <row r="35" spans="2:3" ht="12.75">
      <c r="B35">
        <v>2400</v>
      </c>
      <c r="C35">
        <v>78</v>
      </c>
    </row>
    <row r="36" spans="2:3" ht="12.75">
      <c r="B36">
        <v>3200</v>
      </c>
      <c r="C36">
        <v>83.7</v>
      </c>
    </row>
    <row r="37" spans="2:3" ht="12.75">
      <c r="B37">
        <v>3600</v>
      </c>
      <c r="C37">
        <v>91.4</v>
      </c>
    </row>
    <row r="38" spans="2:3" ht="12.75">
      <c r="B38">
        <v>3600</v>
      </c>
      <c r="C38">
        <v>95</v>
      </c>
    </row>
    <row r="39" spans="2:3" ht="12.75">
      <c r="B39">
        <v>1500</v>
      </c>
      <c r="C39">
        <v>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AIT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Green</dc:creator>
  <cp:keywords/>
  <dc:description/>
  <cp:lastModifiedBy>Brad Green</cp:lastModifiedBy>
  <dcterms:created xsi:type="dcterms:W3CDTF">2007-07-29T21:54:04Z</dcterms:created>
  <dcterms:modified xsi:type="dcterms:W3CDTF">2007-07-30T02:48:37Z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